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908"/>
  <workbookPr/>
  <mc:AlternateContent xmlns:mc="http://schemas.openxmlformats.org/markup-compatibility/2006">
    <mc:Choice Requires="x15">
      <x15ac:absPath xmlns:x15ac="http://schemas.microsoft.com/office/spreadsheetml/2010/11/ac" url="/Users/mauriciosalcido/Dropbox/Public/ARCHIVOS CONTADORMX/CALCULADORAS/ISR IMSS INFONAVIT/2018/"/>
    </mc:Choice>
  </mc:AlternateContent>
  <bookViews>
    <workbookView xWindow="-38400" yWindow="0" windowWidth="38400" windowHeight="21600"/>
  </bookViews>
  <sheets>
    <sheet name="ISPT-INFO-IMSS TRABAJADOR 2018" sheetId="4" r:id="rId1"/>
    <sheet name="DATOS" sheetId="1" r:id="rId2"/>
    <sheet name="SBC 2018" sheetId="6" r:id="rId3"/>
    <sheet name="TARIFAS ISPT, SUBSIDO AL EMPLEO" sheetId="5" r:id="rId4"/>
    <sheet name="CALCULO RETENCION" sheetId="2" r:id="rId5"/>
  </sheets>
  <definedNames>
    <definedName name="AREA">DATOS!$B$7:$B$9</definedName>
    <definedName name="result">'CALCULO RETENCION'!$B$10:$I$12</definedName>
    <definedName name="SM">DATOS!$C$7:$C$7</definedName>
    <definedName name="VALORdesc">'CALCULO RETENCION'!$B$10:$B$12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" i="6" l="1"/>
  <c r="C2" i="2"/>
  <c r="N6" i="4"/>
  <c r="B4" i="6"/>
  <c r="B6" i="6"/>
  <c r="E6" i="6"/>
  <c r="E7" i="6"/>
  <c r="E8" i="6"/>
  <c r="E10" i="6"/>
  <c r="C3" i="6"/>
  <c r="E3" i="6"/>
  <c r="C21" i="4"/>
  <c r="N20" i="4"/>
  <c r="N7" i="4"/>
  <c r="N26" i="4"/>
  <c r="N28" i="4"/>
  <c r="N21" i="4"/>
  <c r="N29" i="4"/>
  <c r="N30" i="4"/>
  <c r="N31" i="4"/>
  <c r="N32" i="4"/>
  <c r="N22" i="4"/>
  <c r="N16" i="4"/>
  <c r="N23" i="4"/>
  <c r="N24" i="4"/>
  <c r="N33" i="4"/>
  <c r="N35" i="4"/>
  <c r="C13" i="1"/>
  <c r="F22" i="1"/>
  <c r="C8" i="1"/>
  <c r="C12" i="1"/>
  <c r="C4" i="1"/>
  <c r="C9" i="4"/>
  <c r="C27" i="4"/>
  <c r="K7" i="4"/>
  <c r="K18" i="4"/>
  <c r="C29" i="4"/>
  <c r="K12" i="4"/>
  <c r="K10" i="4"/>
  <c r="K8" i="4"/>
  <c r="K9" i="4"/>
  <c r="C31" i="4"/>
  <c r="D5" i="2"/>
  <c r="I8" i="2"/>
  <c r="D4" i="2"/>
  <c r="I9" i="2"/>
  <c r="H9" i="2"/>
  <c r="G9" i="2"/>
  <c r="F9" i="2"/>
  <c r="E9" i="2"/>
  <c r="D9" i="2"/>
  <c r="K11" i="4"/>
  <c r="K13" i="4"/>
  <c r="C11" i="2"/>
  <c r="C10" i="2"/>
  <c r="D23" i="1"/>
  <c r="D25" i="1"/>
  <c r="C32" i="4"/>
  <c r="D10" i="2"/>
  <c r="F10" i="2"/>
  <c r="H10" i="2"/>
  <c r="C8" i="2"/>
  <c r="E10" i="2"/>
  <c r="G10" i="2"/>
  <c r="I10" i="2"/>
  <c r="I12" i="2"/>
  <c r="E11" i="2"/>
  <c r="G11" i="2"/>
  <c r="I11" i="2"/>
  <c r="D11" i="2"/>
  <c r="F11" i="2"/>
  <c r="H11" i="2"/>
  <c r="D8" i="2"/>
  <c r="F8" i="2"/>
  <c r="F12" i="2"/>
  <c r="H8" i="2"/>
  <c r="H12" i="2"/>
  <c r="E8" i="2"/>
  <c r="E12" i="2"/>
  <c r="G8" i="2"/>
  <c r="G12" i="2"/>
  <c r="E16" i="2"/>
  <c r="K17" i="4"/>
  <c r="K20" i="4"/>
  <c r="G16" i="2"/>
  <c r="D12" i="2"/>
  <c r="C12" i="2"/>
  <c r="I16" i="2"/>
  <c r="F16" i="2"/>
  <c r="H14" i="2"/>
  <c r="D19" i="1"/>
  <c r="G15" i="2"/>
  <c r="D18" i="1"/>
  <c r="H16" i="2"/>
  <c r="F15" i="2"/>
  <c r="D17" i="1"/>
  <c r="I14" i="2"/>
  <c r="D20" i="1"/>
  <c r="E14" i="2"/>
  <c r="D16" i="1"/>
  <c r="F14" i="2"/>
  <c r="D18" i="2"/>
  <c r="D15" i="1"/>
  <c r="G14" i="2"/>
  <c r="I15" i="2"/>
  <c r="E15" i="2"/>
  <c r="H15" i="2"/>
  <c r="K19" i="4"/>
  <c r="C28" i="4"/>
  <c r="C30" i="4"/>
  <c r="B30" i="4"/>
  <c r="D22" i="1"/>
  <c r="C33" i="4"/>
</calcChain>
</file>

<file path=xl/sharedStrings.xml><?xml version="1.0" encoding="utf-8"?>
<sst xmlns="http://schemas.openxmlformats.org/spreadsheetml/2006/main" count="137" uniqueCount="113">
  <si>
    <t>VSM</t>
  </si>
  <si>
    <t>FALTAS</t>
  </si>
  <si>
    <t>AMORTIZACION MENSUAL</t>
  </si>
  <si>
    <t>SALARIO MINIMO DF</t>
  </si>
  <si>
    <t>BIM 1</t>
  </si>
  <si>
    <t>BIM 2</t>
  </si>
  <si>
    <t>BIM 3</t>
  </si>
  <si>
    <t>BIM 4</t>
  </si>
  <si>
    <t>BIM 5</t>
  </si>
  <si>
    <t>BIM 6</t>
  </si>
  <si>
    <t>TIPO DE DESCUENTO</t>
  </si>
  <si>
    <t>VALOR DEL DESCUENTO</t>
  </si>
  <si>
    <t>VECES SMGDF</t>
  </si>
  <si>
    <t>PORCENTAJE</t>
  </si>
  <si>
    <t>CUOTA FIJA</t>
  </si>
  <si>
    <t>SALARIO BASE DE COTIZACION</t>
  </si>
  <si>
    <t>PERIODO</t>
  </si>
  <si>
    <t>VALOR DE SEGURO DE VIVIENDA</t>
  </si>
  <si>
    <t>AMORTIZACION ANUAL</t>
  </si>
  <si>
    <t>DIAS EN NOMINA</t>
  </si>
  <si>
    <t>RETENCION EN NOMINA EN BASE A DIAS</t>
  </si>
  <si>
    <t>Dias Laborados</t>
  </si>
  <si>
    <t>( = )</t>
  </si>
  <si>
    <t>Ingresos Mensuales Acumulables</t>
  </si>
  <si>
    <t>Tope 3 salarios minimos</t>
  </si>
  <si>
    <t>Ingresos en ese Periodo</t>
  </si>
  <si>
    <t>( - )</t>
  </si>
  <si>
    <t xml:space="preserve">Limite Inferior </t>
  </si>
  <si>
    <t>Excedente sobre limite inferior</t>
  </si>
  <si>
    <t>( * )</t>
  </si>
  <si>
    <t>Tasa aplicable</t>
  </si>
  <si>
    <t>Invalidez y vida</t>
  </si>
  <si>
    <t>Impuesto marginal</t>
  </si>
  <si>
    <t xml:space="preserve">Cesantía y vejez </t>
  </si>
  <si>
    <t>( + )</t>
  </si>
  <si>
    <t>Cuota Fija</t>
  </si>
  <si>
    <t>Prestaciones en Efectivo</t>
  </si>
  <si>
    <t>ISR Causado</t>
  </si>
  <si>
    <t>Gastos Médicos</t>
  </si>
  <si>
    <t>Excedente =</t>
  </si>
  <si>
    <t>DESGLOSE DEL PERIODO</t>
  </si>
  <si>
    <t xml:space="preserve">DETERMINACION DEL SUBSIDIO </t>
  </si>
  <si>
    <t>Total% Retención =</t>
  </si>
  <si>
    <t>SUELDO</t>
  </si>
  <si>
    <t xml:space="preserve">( = ) </t>
  </si>
  <si>
    <t>ISPT DEL PERIODO</t>
  </si>
  <si>
    <t>ISPT DEL PERIODO ANTES DEL SUBSIDIO</t>
  </si>
  <si>
    <t>SUBSIDIO PARA EL EMPLEO</t>
  </si>
  <si>
    <t>SUBSIDO PARA EL EMPLEO</t>
  </si>
  <si>
    <t>ISR A CARGO</t>
  </si>
  <si>
    <t>Retención IMSS</t>
  </si>
  <si>
    <t>SUBSIDIO A FAVOR</t>
  </si>
  <si>
    <t>Salario Base de Cotización</t>
  </si>
  <si>
    <t>IMSS</t>
  </si>
  <si>
    <t>(x) No. De días cotizados</t>
  </si>
  <si>
    <t>NETO A PAGAR</t>
  </si>
  <si>
    <t>(=) Salario base cotización =</t>
  </si>
  <si>
    <t>(x) % retención IMSS=</t>
  </si>
  <si>
    <t>(=) Ret. Inic. IMSS =</t>
  </si>
  <si>
    <t>Mayor a 3 SMDF</t>
  </si>
  <si>
    <t>SDI – 3 Salarios minimos</t>
  </si>
  <si>
    <t>(=) Salario base cotización excedente</t>
  </si>
  <si>
    <t xml:space="preserve">X % sobre excedente </t>
  </si>
  <si>
    <t>(=) IMSS sobre excedente</t>
  </si>
  <si>
    <t>(+) Ret. Inic. IMSS</t>
  </si>
  <si>
    <t>Total Retención IMSS.</t>
  </si>
  <si>
    <t>Limite inferior</t>
  </si>
  <si>
    <t>Limite Superior</t>
  </si>
  <si>
    <t>Cuota fija</t>
  </si>
  <si>
    <t xml:space="preserve">% </t>
  </si>
  <si>
    <t>Salario Diario</t>
  </si>
  <si>
    <t>RETENCION INFONAVIT</t>
  </si>
  <si>
    <t>SALARIO DIARIO INTEGRADO (PRESTACIONES DE LEY)</t>
  </si>
  <si>
    <t>Promedio de dias al mes</t>
  </si>
  <si>
    <t>DATOS</t>
  </si>
  <si>
    <t>Nota: Rellena solo los espacios en azul</t>
  </si>
  <si>
    <t>Visita ContadorMx</t>
  </si>
  <si>
    <t>UMA al 8 de enero de 2017</t>
  </si>
  <si>
    <t>Datos generales para la integración</t>
  </si>
  <si>
    <t>Importes</t>
  </si>
  <si>
    <t>Fija</t>
  </si>
  <si>
    <t>Variable</t>
  </si>
  <si>
    <t>Total</t>
  </si>
  <si>
    <t>Salario minimo D.F.</t>
  </si>
  <si>
    <t>Cuota diaria del trabajador</t>
  </si>
  <si>
    <t>Días de vacaciones</t>
  </si>
  <si>
    <t>Factor de integración</t>
  </si>
  <si>
    <t>Prima vacacional %</t>
  </si>
  <si>
    <t>Prima vacacional</t>
  </si>
  <si>
    <t>Días de aguinaldo</t>
  </si>
  <si>
    <t xml:space="preserve">más: </t>
  </si>
  <si>
    <t>Por aguinaldo</t>
  </si>
  <si>
    <t>Area geografica del contribuyente</t>
  </si>
  <si>
    <t>UNICA</t>
  </si>
  <si>
    <t xml:space="preserve">igual: </t>
  </si>
  <si>
    <t>Unidad</t>
  </si>
  <si>
    <t>Otros conceptos que integran el SBC</t>
  </si>
  <si>
    <t xml:space="preserve">Factor </t>
  </si>
  <si>
    <t>Prestaciones</t>
  </si>
  <si>
    <t>Dias de Aguinaldo</t>
  </si>
  <si>
    <t>Dias de Vacaciones</t>
  </si>
  <si>
    <t>% de Prima Vacacional</t>
  </si>
  <si>
    <t>VALOR DEL DESCUENTO (si tiene Infonavit)</t>
  </si>
  <si>
    <t>ISR, IMSS e Infonavit</t>
  </si>
  <si>
    <t>Salario Minimo 2017</t>
  </si>
  <si>
    <t>DATOS GENERALES</t>
  </si>
  <si>
    <t>UMA</t>
  </si>
  <si>
    <t>IMPORTANTE:</t>
  </si>
  <si>
    <t>Este calculo es elaborado con los datos de las tablas de ISR de 2018 publicadas el 29 de diciembre de 2017 y la UMA 2017, la UMA 2018 se publica en febrero de 2018.</t>
  </si>
  <si>
    <t>Calculadora de Nominas 2018</t>
  </si>
  <si>
    <t>TABLAS Y TARIFAS MENSUAL 2018</t>
  </si>
  <si>
    <t>TABLA DE SUBSIDIO PARA EL EMPLEO 2018</t>
  </si>
  <si>
    <t>UMA 2018 (DOF 10.01.2018)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</si>
</sst>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.0000"/>
    <numFmt numFmtId="165" formatCode="&quot;$&quot;#,##0.00"/>
    <numFmt numFmtId="166" formatCode="0.0000%"/>
    <numFmt numFmtId="167" formatCode="0.0"/>
    <numFmt numFmtId="168" formatCode="0.000%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rgb="FFFFFF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2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1" tint="0.249977111117893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7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5" borderId="0" applyNumberFormat="0" applyBorder="0" applyAlignment="0" applyProtection="0"/>
    <xf numFmtId="0" fontId="3" fillId="6" borderId="0" applyNumberFormat="0" applyBorder="0" applyAlignment="0" applyProtection="0"/>
    <xf numFmtId="43" fontId="3" fillId="0" borderId="0" applyFont="0" applyFill="0" applyBorder="0" applyAlignment="0" applyProtection="0"/>
  </cellStyleXfs>
  <cellXfs count="121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164" fontId="0" fillId="0" borderId="0" xfId="0" applyNumberFormat="1"/>
    <xf numFmtId="0" fontId="0" fillId="2" borderId="2" xfId="0" applyFill="1" applyBorder="1"/>
    <xf numFmtId="0" fontId="0" fillId="3" borderId="2" xfId="0" applyFill="1" applyBorder="1" applyAlignment="1">
      <alignment horizontal="center" wrapText="1"/>
    </xf>
    <xf numFmtId="4" fontId="0" fillId="3" borderId="2" xfId="0" applyNumberFormat="1" applyFill="1" applyBorder="1"/>
    <xf numFmtId="4" fontId="0" fillId="4" borderId="2" xfId="0" applyNumberFormat="1" applyFill="1" applyBorder="1"/>
    <xf numFmtId="166" fontId="0" fillId="0" borderId="0" xfId="0" applyNumberFormat="1"/>
    <xf numFmtId="0" fontId="0" fillId="2" borderId="2" xfId="0" applyFill="1" applyBorder="1" applyProtection="1">
      <protection locked="0"/>
    </xf>
    <xf numFmtId="0" fontId="0" fillId="4" borderId="2" xfId="0" applyFill="1" applyBorder="1" applyAlignment="1">
      <alignment horizontal="left" wrapText="1"/>
    </xf>
    <xf numFmtId="0" fontId="0" fillId="4" borderId="0" xfId="0" applyFill="1"/>
    <xf numFmtId="0" fontId="1" fillId="0" borderId="0" xfId="0" applyFont="1"/>
    <xf numFmtId="0" fontId="1" fillId="2" borderId="2" xfId="0" applyFont="1" applyFill="1" applyBorder="1" applyAlignment="1">
      <alignment textRotation="90"/>
    </xf>
    <xf numFmtId="0" fontId="1" fillId="4" borderId="2" xfId="0" applyFont="1" applyFill="1" applyBorder="1" applyAlignment="1">
      <alignment horizontal="center" wrapText="1"/>
    </xf>
    <xf numFmtId="0" fontId="2" fillId="0" borderId="0" xfId="0" applyFont="1" applyAlignment="1">
      <alignment wrapText="1"/>
    </xf>
    <xf numFmtId="4" fontId="1" fillId="4" borderId="2" xfId="0" applyNumberFormat="1" applyFont="1" applyFill="1" applyBorder="1" applyAlignment="1">
      <alignment horizontal="center" vertical="center"/>
    </xf>
    <xf numFmtId="165" fontId="1" fillId="3" borderId="0" xfId="0" applyNumberFormat="1" applyFont="1" applyFill="1"/>
    <xf numFmtId="44" fontId="0" fillId="0" borderId="0" xfId="0" applyNumberFormat="1"/>
    <xf numFmtId="44" fontId="0" fillId="0" borderId="0" xfId="1" applyFont="1" applyAlignment="1">
      <alignment horizontal="right"/>
    </xf>
    <xf numFmtId="0" fontId="0" fillId="0" borderId="0" xfId="0" applyAlignment="1">
      <alignment horizontal="center" vertical="center"/>
    </xf>
    <xf numFmtId="0" fontId="0" fillId="0" borderId="7" xfId="0" applyBorder="1"/>
    <xf numFmtId="44" fontId="0" fillId="0" borderId="8" xfId="1" applyFont="1" applyBorder="1"/>
    <xf numFmtId="0" fontId="0" fillId="0" borderId="9" xfId="0" applyBorder="1"/>
    <xf numFmtId="0" fontId="0" fillId="0" borderId="11" xfId="0" applyBorder="1"/>
    <xf numFmtId="44" fontId="0" fillId="0" borderId="10" xfId="1" applyFont="1" applyBorder="1"/>
    <xf numFmtId="0" fontId="0" fillId="0" borderId="0" xfId="0" applyBorder="1"/>
    <xf numFmtId="0" fontId="0" fillId="0" borderId="10" xfId="0" applyBorder="1"/>
    <xf numFmtId="0" fontId="0" fillId="0" borderId="12" xfId="0" applyBorder="1"/>
    <xf numFmtId="44" fontId="0" fillId="0" borderId="13" xfId="1" applyFont="1" applyBorder="1"/>
    <xf numFmtId="10" fontId="0" fillId="0" borderId="10" xfId="0" applyNumberFormat="1" applyBorder="1"/>
    <xf numFmtId="168" fontId="0" fillId="0" borderId="10" xfId="0" applyNumberFormat="1" applyBorder="1"/>
    <xf numFmtId="44" fontId="0" fillId="0" borderId="0" xfId="1" applyFont="1" applyBorder="1" applyAlignment="1">
      <alignment horizontal="right"/>
    </xf>
    <xf numFmtId="44" fontId="0" fillId="0" borderId="10" xfId="0" applyNumberFormat="1" applyBorder="1"/>
    <xf numFmtId="0" fontId="4" fillId="0" borderId="0" xfId="3" applyBorder="1"/>
    <xf numFmtId="0" fontId="4" fillId="0" borderId="9" xfId="3" applyBorder="1"/>
    <xf numFmtId="168" fontId="4" fillId="0" borderId="10" xfId="3" applyNumberFormat="1" applyBorder="1"/>
    <xf numFmtId="0" fontId="0" fillId="0" borderId="14" xfId="0" applyBorder="1"/>
    <xf numFmtId="0" fontId="5" fillId="5" borderId="12" xfId="4" applyBorder="1"/>
    <xf numFmtId="44" fontId="5" fillId="5" borderId="13" xfId="4" applyNumberFormat="1" applyBorder="1"/>
    <xf numFmtId="0" fontId="0" fillId="0" borderId="10" xfId="0" applyBorder="1" applyAlignment="1">
      <alignment horizontal="center" vertical="center"/>
    </xf>
    <xf numFmtId="0" fontId="0" fillId="0" borderId="0" xfId="0" applyAlignment="1"/>
    <xf numFmtId="0" fontId="1" fillId="6" borderId="7" xfId="5" applyFont="1" applyBorder="1" applyAlignment="1">
      <alignment horizontal="center" vertical="center"/>
    </xf>
    <xf numFmtId="0" fontId="1" fillId="6" borderId="11" xfId="5" applyFont="1" applyBorder="1" applyAlignment="1">
      <alignment horizontal="center" vertical="center"/>
    </xf>
    <xf numFmtId="0" fontId="1" fillId="6" borderId="8" xfId="5" applyFont="1" applyBorder="1" applyAlignment="1">
      <alignment horizontal="center" vertical="center" wrapText="1"/>
    </xf>
    <xf numFmtId="0" fontId="1" fillId="6" borderId="8" xfId="5" applyFont="1" applyBorder="1" applyAlignment="1">
      <alignment horizontal="center" vertical="center"/>
    </xf>
    <xf numFmtId="44" fontId="0" fillId="0" borderId="9" xfId="1" applyFont="1" applyBorder="1"/>
    <xf numFmtId="44" fontId="0" fillId="0" borderId="0" xfId="1" applyFont="1" applyBorder="1"/>
    <xf numFmtId="10" fontId="0" fillId="0" borderId="10" xfId="2" applyNumberFormat="1" applyFont="1" applyBorder="1" applyAlignment="1">
      <alignment horizontal="center" vertical="center"/>
    </xf>
    <xf numFmtId="44" fontId="0" fillId="0" borderId="12" xfId="1" applyFont="1" applyBorder="1"/>
    <xf numFmtId="44" fontId="0" fillId="0" borderId="14" xfId="1" applyFont="1" applyBorder="1"/>
    <xf numFmtId="10" fontId="0" fillId="0" borderId="13" xfId="2" applyNumberFormat="1" applyFont="1" applyBorder="1" applyAlignment="1">
      <alignment horizontal="center" vertical="center"/>
    </xf>
    <xf numFmtId="0" fontId="6" fillId="0" borderId="0" xfId="0" applyFont="1" applyBorder="1"/>
    <xf numFmtId="0" fontId="7" fillId="0" borderId="0" xfId="0" applyFont="1" applyBorder="1" applyAlignment="1">
      <alignment vertical="top"/>
    </xf>
    <xf numFmtId="0" fontId="6" fillId="0" borderId="0" xfId="0" applyFont="1" applyBorder="1" applyAlignment="1"/>
    <xf numFmtId="14" fontId="0" fillId="0" borderId="0" xfId="0" applyNumberFormat="1" applyBorder="1"/>
    <xf numFmtId="0" fontId="8" fillId="0" borderId="0" xfId="0" applyFont="1" applyBorder="1" applyAlignment="1">
      <alignment horizontal="center"/>
    </xf>
    <xf numFmtId="0" fontId="0" fillId="0" borderId="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4" xfId="0" applyBorder="1" applyAlignment="1">
      <alignment horizontal="right"/>
    </xf>
    <xf numFmtId="0" fontId="5" fillId="7" borderId="12" xfId="4" applyFill="1" applyBorder="1"/>
    <xf numFmtId="0" fontId="0" fillId="0" borderId="2" xfId="0" applyBorder="1"/>
    <xf numFmtId="44" fontId="3" fillId="0" borderId="2" xfId="1" applyFont="1" applyBorder="1"/>
    <xf numFmtId="4" fontId="0" fillId="0" borderId="2" xfId="0" applyNumberFormat="1" applyBorder="1"/>
    <xf numFmtId="4" fontId="0" fillId="0" borderId="2" xfId="0" applyNumberFormat="1" applyBorder="1" applyAlignment="1"/>
    <xf numFmtId="9" fontId="3" fillId="0" borderId="2" xfId="2" applyFont="1" applyBorder="1"/>
    <xf numFmtId="0" fontId="0" fillId="0" borderId="0" xfId="0" applyAlignment="1">
      <alignment horizontal="right"/>
    </xf>
    <xf numFmtId="164" fontId="0" fillId="0" borderId="1" xfId="0" applyNumberFormat="1" applyBorder="1"/>
    <xf numFmtId="0" fontId="0" fillId="0" borderId="2" xfId="0" applyFill="1" applyBorder="1"/>
    <xf numFmtId="43" fontId="3" fillId="0" borderId="1" xfId="6" applyFont="1" applyBorder="1"/>
    <xf numFmtId="0" fontId="0" fillId="0" borderId="0" xfId="0" applyFill="1" applyBorder="1"/>
    <xf numFmtId="0" fontId="9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44" fontId="3" fillId="0" borderId="0" xfId="1" applyFont="1" applyFill="1" applyBorder="1"/>
    <xf numFmtId="4" fontId="0" fillId="0" borderId="0" xfId="0" applyNumberFormat="1" applyFill="1" applyBorder="1"/>
    <xf numFmtId="4" fontId="0" fillId="0" borderId="0" xfId="0" applyNumberFormat="1" applyFill="1" applyBorder="1" applyAlignment="1"/>
    <xf numFmtId="9" fontId="3" fillId="0" borderId="0" xfId="2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right"/>
    </xf>
    <xf numFmtId="43" fontId="3" fillId="0" borderId="0" xfId="6" applyFont="1" applyFill="1" applyBorder="1"/>
    <xf numFmtId="0" fontId="9" fillId="0" borderId="0" xfId="0" applyFont="1" applyFill="1" applyBorder="1"/>
    <xf numFmtId="0" fontId="8" fillId="3" borderId="0" xfId="0" applyFont="1" applyFill="1" applyBorder="1" applyAlignment="1">
      <alignment horizontal="center"/>
    </xf>
    <xf numFmtId="0" fontId="12" fillId="0" borderId="0" xfId="0" applyFont="1"/>
    <xf numFmtId="0" fontId="13" fillId="0" borderId="0" xfId="0" applyFont="1"/>
    <xf numFmtId="0" fontId="0" fillId="0" borderId="0" xfId="0" applyFont="1" applyFill="1"/>
    <xf numFmtId="0" fontId="1" fillId="0" borderId="2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1" fillId="0" borderId="0" xfId="0" applyFont="1" applyFill="1"/>
    <xf numFmtId="0" fontId="0" fillId="0" borderId="0" xfId="0" applyFont="1" applyFill="1" applyAlignment="1">
      <alignment horizontal="right"/>
    </xf>
    <xf numFmtId="164" fontId="0" fillId="0" borderId="15" xfId="0" applyNumberFormat="1" applyFont="1" applyFill="1" applyBorder="1"/>
    <xf numFmtId="0" fontId="14" fillId="0" borderId="0" xfId="0" applyFont="1" applyFill="1" applyBorder="1"/>
    <xf numFmtId="164" fontId="0" fillId="3" borderId="2" xfId="0" applyNumberFormat="1" applyFill="1" applyBorder="1" applyAlignment="1" applyProtection="1">
      <alignment horizontal="center"/>
      <protection locked="0"/>
    </xf>
    <xf numFmtId="44" fontId="11" fillId="7" borderId="14" xfId="4" applyNumberFormat="1" applyFont="1" applyFill="1" applyBorder="1" applyAlignment="1">
      <alignment horizontal="center" vertical="center"/>
    </xf>
    <xf numFmtId="44" fontId="11" fillId="7" borderId="13" xfId="4" applyNumberFormat="1" applyFont="1" applyFill="1" applyBorder="1" applyAlignment="1">
      <alignment horizontal="center" vertical="center"/>
    </xf>
    <xf numFmtId="0" fontId="5" fillId="5" borderId="9" xfId="4" applyBorder="1" applyAlignment="1">
      <alignment horizontal="center"/>
    </xf>
    <xf numFmtId="0" fontId="5" fillId="5" borderId="10" xfId="4" applyBorder="1" applyAlignment="1">
      <alignment horizontal="center"/>
    </xf>
    <xf numFmtId="0" fontId="0" fillId="3" borderId="2" xfId="0" applyFill="1" applyBorder="1" applyAlignment="1" applyProtection="1">
      <alignment horizontal="center"/>
      <protection locked="0"/>
    </xf>
    <xf numFmtId="0" fontId="9" fillId="0" borderId="0" xfId="0" applyFont="1" applyFill="1" applyBorder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10" fontId="0" fillId="3" borderId="0" xfId="0" applyNumberFormat="1" applyFill="1" applyAlignment="1" applyProtection="1">
      <alignment horizontal="center"/>
      <protection locked="0"/>
    </xf>
    <xf numFmtId="44" fontId="10" fillId="0" borderId="11" xfId="0" applyNumberFormat="1" applyFont="1" applyBorder="1" applyAlignment="1">
      <alignment horizontal="center" vertical="center"/>
    </xf>
    <xf numFmtId="44" fontId="10" fillId="0" borderId="8" xfId="0" applyNumberFormat="1" applyFont="1" applyBorder="1" applyAlignment="1">
      <alignment horizontal="center" vertical="center"/>
    </xf>
    <xf numFmtId="44" fontId="10" fillId="0" borderId="0" xfId="0" applyNumberFormat="1" applyFont="1" applyBorder="1" applyAlignment="1">
      <alignment horizontal="center" vertical="center"/>
    </xf>
    <xf numFmtId="44" fontId="10" fillId="0" borderId="10" xfId="0" applyNumberFormat="1" applyFont="1" applyBorder="1" applyAlignment="1">
      <alignment horizontal="center" vertical="center"/>
    </xf>
    <xf numFmtId="0" fontId="5" fillId="7" borderId="9" xfId="4" applyFill="1" applyBorder="1" applyAlignment="1">
      <alignment horizontal="center"/>
    </xf>
    <xf numFmtId="0" fontId="5" fillId="7" borderId="0" xfId="4" applyFill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vertical="top"/>
    </xf>
    <xf numFmtId="167" fontId="0" fillId="0" borderId="11" xfId="0" applyNumberFormat="1" applyFill="1" applyBorder="1" applyAlignment="1" applyProtection="1">
      <alignment horizontal="center"/>
    </xf>
    <xf numFmtId="167" fontId="0" fillId="0" borderId="8" xfId="0" applyNumberFormat="1" applyFill="1" applyBorder="1" applyAlignment="1" applyProtection="1">
      <alignment horizontal="center"/>
    </xf>
    <xf numFmtId="0" fontId="0" fillId="3" borderId="10" xfId="0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center" wrapText="1"/>
    </xf>
    <xf numFmtId="165" fontId="0" fillId="3" borderId="2" xfId="0" applyNumberForma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5" fillId="5" borderId="4" xfId="4" applyBorder="1" applyAlignment="1">
      <alignment horizontal="center"/>
    </xf>
    <xf numFmtId="0" fontId="5" fillId="5" borderId="5" xfId="4" applyBorder="1" applyAlignment="1">
      <alignment horizontal="center"/>
    </xf>
    <xf numFmtId="0" fontId="5" fillId="5" borderId="6" xfId="4" applyBorder="1" applyAlignment="1">
      <alignment horizontal="center"/>
    </xf>
  </cellXfs>
  <cellStyles count="7">
    <cellStyle name="20% - Énfasis1" xfId="5" builtinId="30"/>
    <cellStyle name="Encabezado 4" xfId="3" builtinId="19"/>
    <cellStyle name="Énfasis1" xfId="4" builtinId="29"/>
    <cellStyle name="Millares" xfId="6" builtinId="3"/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://contadormx.net/categor%C3%ADa-producto/utilidades/?utm_source=blog&amp;utm_medium=widget&amp;utm_campaign=widget_utilidades_2" TargetMode="External"/><Relationship Id="rId4" Type="http://schemas.openxmlformats.org/officeDocument/2006/relationships/image" Target="../media/image2.png"/><Relationship Id="rId5" Type="http://schemas.openxmlformats.org/officeDocument/2006/relationships/hyperlink" Target="http://contabilidadelectronica.contadormx.net/?utm_source=blog&amp;utm_medium=widget&amp;utm_campaign=widget_ce_2" TargetMode="External"/><Relationship Id="rId6" Type="http://schemas.openxmlformats.org/officeDocument/2006/relationships/image" Target="../media/image3.png"/><Relationship Id="rId7" Type="http://schemas.openxmlformats.org/officeDocument/2006/relationships/hyperlink" Target="http://contadormx.net/shop/emite-comprobantes-fiscales-digitales-por-internet-con-facturacfdi-facturacion-electronica/?utm_source=blog&amp;utm_medium=widget&amp;utm_campaign=widget_cfdi_2" TargetMode="External"/><Relationship Id="rId8" Type="http://schemas.openxmlformats.org/officeDocument/2006/relationships/image" Target="../media/image4.png"/><Relationship Id="rId9" Type="http://schemas.openxmlformats.org/officeDocument/2006/relationships/hyperlink" Target="http://contadormx.net/categor%C3%ADa-producto/publicaciones/?utm_source=blog&amp;utm_medium=widget&amp;utm_campaign=widget_ebooks_2" TargetMode="External"/><Relationship Id="rId10" Type="http://schemas.openxmlformats.org/officeDocument/2006/relationships/image" Target="../media/image5.png"/><Relationship Id="rId1" Type="http://schemas.openxmlformats.org/officeDocument/2006/relationships/hyperlink" Target="http://www.contadormx.net/" TargetMode="External"/><Relationship Id="rId2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tadormx.com" TargetMode="External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0</xdr:col>
      <xdr:colOff>828675</xdr:colOff>
      <xdr:row>28</xdr:row>
      <xdr:rowOff>13260</xdr:rowOff>
    </xdr:to>
    <xdr:pic>
      <xdr:nvPicPr>
        <xdr:cNvPr id="3" name="2 Imagen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828675" cy="5172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866588</xdr:colOff>
      <xdr:row>4</xdr:row>
      <xdr:rowOff>29883</xdr:rowOff>
    </xdr:from>
    <xdr:to>
      <xdr:col>7</xdr:col>
      <xdr:colOff>2365188</xdr:colOff>
      <xdr:row>10</xdr:row>
      <xdr:rowOff>82925</xdr:rowOff>
    </xdr:to>
    <xdr:pic>
      <xdr:nvPicPr>
        <xdr:cNvPr id="9" name="Imagen 8" descr="tilerias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000" y="298824"/>
          <a:ext cx="4143188" cy="14575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2242</xdr:colOff>
      <xdr:row>10</xdr:row>
      <xdr:rowOff>149413</xdr:rowOff>
    </xdr:from>
    <xdr:to>
      <xdr:col>7</xdr:col>
      <xdr:colOff>2360707</xdr:colOff>
      <xdr:row>18</xdr:row>
      <xdr:rowOff>53042</xdr:rowOff>
    </xdr:to>
    <xdr:pic>
      <xdr:nvPicPr>
        <xdr:cNvPr id="11" name="Imagen 10" descr="e-en-linea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1183" y="1778001"/>
          <a:ext cx="4121524" cy="14575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879289</xdr:colOff>
      <xdr:row>17</xdr:row>
      <xdr:rowOff>59765</xdr:rowOff>
    </xdr:from>
    <xdr:to>
      <xdr:col>7</xdr:col>
      <xdr:colOff>2356224</xdr:colOff>
      <xdr:row>23</xdr:row>
      <xdr:rowOff>82924</xdr:rowOff>
    </xdr:to>
    <xdr:pic>
      <xdr:nvPicPr>
        <xdr:cNvPr id="13" name="Imagen 12" descr="fdi-facturas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6701" y="3242236"/>
          <a:ext cx="4121523" cy="14575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874806</xdr:colOff>
      <xdr:row>23</xdr:row>
      <xdr:rowOff>134470</xdr:rowOff>
    </xdr:from>
    <xdr:to>
      <xdr:col>7</xdr:col>
      <xdr:colOff>2351742</xdr:colOff>
      <xdr:row>30</xdr:row>
      <xdr:rowOff>8216</xdr:rowOff>
    </xdr:to>
    <xdr:pic>
      <xdr:nvPicPr>
        <xdr:cNvPr id="16" name="Imagen 15" descr="ublicaciones (2)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453" y="4497294"/>
          <a:ext cx="4121524" cy="14575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828675</xdr:colOff>
      <xdr:row>21</xdr:row>
      <xdr:rowOff>92075</xdr:rowOff>
    </xdr:to>
    <xdr:pic>
      <xdr:nvPicPr>
        <xdr:cNvPr id="2" name="1 Imagen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28675" cy="5172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Relationship Id="rId2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B1:O45"/>
  <sheetViews>
    <sheetView showGridLines="0" tabSelected="1" zoomScale="85" zoomScaleNormal="85" zoomScalePageLayoutView="85" workbookViewId="0">
      <selection activeCell="H2" sqref="H2"/>
    </sheetView>
  </sheetViews>
  <sheetFormatPr baseColWidth="10" defaultRowHeight="15" x14ac:dyDescent="0.2"/>
  <cols>
    <col min="1" max="1" width="13" customWidth="1"/>
    <col min="2" max="2" width="44.33203125" customWidth="1"/>
    <col min="3" max="3" width="11.5" bestFit="1" customWidth="1"/>
    <col min="4" max="4" width="15.6640625" customWidth="1"/>
    <col min="5" max="5" width="11.5" bestFit="1" customWidth="1"/>
    <col min="6" max="7" width="11.5" style="26" customWidth="1"/>
    <col min="8" max="8" width="32.83203125" style="26" customWidth="1"/>
    <col min="9" max="9" width="3.33203125" hidden="1" customWidth="1"/>
    <col min="10" max="10" width="30.6640625" hidden="1" customWidth="1"/>
    <col min="11" max="11" width="15.1640625" hidden="1" customWidth="1"/>
    <col min="12" max="12" width="11.5" hidden="1" customWidth="1"/>
    <col min="13" max="13" width="34.1640625" hidden="1" customWidth="1"/>
    <col min="14" max="14" width="11.5" hidden="1" customWidth="1"/>
    <col min="15" max="17" width="11.5" customWidth="1"/>
  </cols>
  <sheetData>
    <row r="1" spans="2:15" ht="7" customHeight="1" x14ac:dyDescent="0.2"/>
    <row r="2" spans="2:15" ht="30" customHeight="1" x14ac:dyDescent="0.35">
      <c r="B2" s="82" t="s">
        <v>109</v>
      </c>
    </row>
    <row r="3" spans="2:15" ht="19" x14ac:dyDescent="0.25">
      <c r="B3" s="83" t="s">
        <v>103</v>
      </c>
    </row>
    <row r="4" spans="2:15" ht="21" x14ac:dyDescent="0.25">
      <c r="F4" s="106" t="s">
        <v>76</v>
      </c>
      <c r="G4" s="106"/>
      <c r="H4" s="106"/>
    </row>
    <row r="5" spans="2:15" ht="16" thickBot="1" x14ac:dyDescent="0.25">
      <c r="B5" s="104" t="s">
        <v>74</v>
      </c>
      <c r="C5" s="105"/>
      <c r="D5" s="105"/>
      <c r="I5" s="19"/>
      <c r="J5" s="18"/>
      <c r="K5" s="18"/>
      <c r="L5" s="18"/>
      <c r="N5" s="20"/>
    </row>
    <row r="6" spans="2:15" ht="16" thickBot="1" x14ac:dyDescent="0.25">
      <c r="B6" s="21" t="s">
        <v>73</v>
      </c>
      <c r="C6" s="108">
        <v>30.4</v>
      </c>
      <c r="D6" s="109"/>
      <c r="M6" s="21" t="s">
        <v>106</v>
      </c>
      <c r="N6" s="22">
        <f>DATOS!C6</f>
        <v>80.599999999999994</v>
      </c>
    </row>
    <row r="7" spans="2:15" ht="21" x14ac:dyDescent="0.2">
      <c r="B7" s="23" t="s">
        <v>21</v>
      </c>
      <c r="C7" s="110">
        <v>15</v>
      </c>
      <c r="D7" s="110"/>
      <c r="F7" s="107"/>
      <c r="G7" s="107"/>
      <c r="H7" s="107"/>
      <c r="I7" s="58" t="s">
        <v>22</v>
      </c>
      <c r="J7" s="24" t="s">
        <v>23</v>
      </c>
      <c r="K7" s="22">
        <f>(C9/C7)*C6</f>
        <v>9120</v>
      </c>
      <c r="M7" s="23" t="s">
        <v>24</v>
      </c>
      <c r="N7" s="18">
        <f>N6*3</f>
        <v>241.79999999999998</v>
      </c>
      <c r="O7" s="18"/>
    </row>
    <row r="8" spans="2:15" ht="21" x14ac:dyDescent="0.2">
      <c r="B8" s="23" t="s">
        <v>70</v>
      </c>
      <c r="C8" s="111">
        <v>300</v>
      </c>
      <c r="D8" s="111"/>
      <c r="F8" s="107"/>
      <c r="G8" s="107"/>
      <c r="H8" s="107"/>
      <c r="I8" s="57" t="s">
        <v>26</v>
      </c>
      <c r="J8" s="26" t="s">
        <v>27</v>
      </c>
      <c r="K8" s="25">
        <f>VLOOKUP(K7,'TARIFAS ISPT, SUBSIDO AL EMPLEO'!B5:E15,1)</f>
        <v>8629.2099999999991</v>
      </c>
      <c r="M8" s="23"/>
      <c r="N8" s="27"/>
    </row>
    <row r="9" spans="2:15" ht="20" thickBot="1" x14ac:dyDescent="0.25">
      <c r="B9" s="28" t="s">
        <v>25</v>
      </c>
      <c r="C9" s="92">
        <f>C7*C8</f>
        <v>4500</v>
      </c>
      <c r="D9" s="93"/>
      <c r="I9" s="57" t="s">
        <v>22</v>
      </c>
      <c r="J9" s="26" t="s">
        <v>28</v>
      </c>
      <c r="K9" s="25">
        <f>K7-K8</f>
        <v>490.79000000000087</v>
      </c>
      <c r="M9" s="23"/>
      <c r="N9" s="27"/>
    </row>
    <row r="10" spans="2:15" x14ac:dyDescent="0.2">
      <c r="B10" s="26"/>
      <c r="C10" s="32"/>
      <c r="I10" s="57" t="s">
        <v>29</v>
      </c>
      <c r="J10" s="26" t="s">
        <v>30</v>
      </c>
      <c r="K10" s="30">
        <f>VLOOKUP(K7,'TARIFAS ISPT, SUBSIDO AL EMPLEO'!B5:E15,4)</f>
        <v>0.16</v>
      </c>
      <c r="M10" s="23" t="s">
        <v>31</v>
      </c>
      <c r="N10" s="31">
        <v>6.2500000000000003E-3</v>
      </c>
    </row>
    <row r="11" spans="2:15" x14ac:dyDescent="0.2">
      <c r="B11" s="10" t="s">
        <v>10</v>
      </c>
      <c r="C11" s="96">
        <v>1</v>
      </c>
      <c r="D11" s="96"/>
      <c r="I11" s="57"/>
      <c r="J11" s="26" t="s">
        <v>32</v>
      </c>
      <c r="K11" s="25">
        <f>K9*K10</f>
        <v>78.526400000000137</v>
      </c>
      <c r="M11" s="23" t="s">
        <v>33</v>
      </c>
      <c r="N11" s="31">
        <v>1.125E-2</v>
      </c>
    </row>
    <row r="12" spans="2:15" x14ac:dyDescent="0.2">
      <c r="C12" s="11">
        <v>1</v>
      </c>
      <c r="D12" s="11" t="s">
        <v>12</v>
      </c>
      <c r="I12" s="57" t="s">
        <v>34</v>
      </c>
      <c r="J12" s="26" t="s">
        <v>35</v>
      </c>
      <c r="K12" s="25">
        <f>VLOOKUP(K7,'TARIFAS ISPT, SUBSIDO AL EMPLEO'!B5:E15,3)</f>
        <v>692.96</v>
      </c>
      <c r="M12" s="23" t="s">
        <v>36</v>
      </c>
      <c r="N12" s="31">
        <v>2.5000000000000001E-3</v>
      </c>
    </row>
    <row r="13" spans="2:15" x14ac:dyDescent="0.2">
      <c r="C13" s="11">
        <v>2</v>
      </c>
      <c r="D13" s="11" t="s">
        <v>14</v>
      </c>
      <c r="I13" s="57" t="s">
        <v>22</v>
      </c>
      <c r="J13" s="26" t="s">
        <v>37</v>
      </c>
      <c r="K13" s="33">
        <f>K12+K11</f>
        <v>771.48640000000023</v>
      </c>
      <c r="M13" s="23" t="s">
        <v>38</v>
      </c>
      <c r="N13" s="31">
        <v>3.7499999999999999E-3</v>
      </c>
    </row>
    <row r="14" spans="2:15" x14ac:dyDescent="0.2">
      <c r="C14" s="11">
        <v>3</v>
      </c>
      <c r="D14" s="11" t="s">
        <v>13</v>
      </c>
      <c r="I14" s="57"/>
      <c r="J14" s="26"/>
      <c r="K14" s="27"/>
      <c r="M14" s="23" t="s">
        <v>39</v>
      </c>
      <c r="N14" s="27"/>
    </row>
    <row r="15" spans="2:15" x14ac:dyDescent="0.2">
      <c r="I15" s="57"/>
      <c r="J15" s="34" t="s">
        <v>41</v>
      </c>
      <c r="K15" s="27"/>
      <c r="M15" s="23"/>
      <c r="N15" s="27"/>
    </row>
    <row r="16" spans="2:15" x14ac:dyDescent="0.2">
      <c r="B16" s="10" t="s">
        <v>98</v>
      </c>
      <c r="I16" s="57"/>
      <c r="J16" s="26"/>
      <c r="K16" s="27"/>
      <c r="M16" s="35" t="s">
        <v>42</v>
      </c>
      <c r="N16" s="36">
        <f>SUM(N10:N13)</f>
        <v>2.375E-2</v>
      </c>
    </row>
    <row r="17" spans="2:14" x14ac:dyDescent="0.2">
      <c r="B17" t="s">
        <v>100</v>
      </c>
      <c r="C17" s="98">
        <v>12</v>
      </c>
      <c r="D17" s="98"/>
      <c r="I17" s="57" t="s">
        <v>44</v>
      </c>
      <c r="J17" s="26" t="s">
        <v>45</v>
      </c>
      <c r="K17" s="25">
        <f>(K13/C6)*C7</f>
        <v>380.66763157894752</v>
      </c>
      <c r="M17" s="23"/>
      <c r="N17" s="27"/>
    </row>
    <row r="18" spans="2:14" x14ac:dyDescent="0.2">
      <c r="B18" t="s">
        <v>101</v>
      </c>
      <c r="C18" s="99">
        <v>0.25</v>
      </c>
      <c r="D18" s="99"/>
      <c r="E18" s="26"/>
      <c r="G18" s="55"/>
      <c r="I18" s="57" t="s">
        <v>26</v>
      </c>
      <c r="J18" s="26" t="s">
        <v>47</v>
      </c>
      <c r="K18" s="25">
        <f>VLOOKUP(K7,'TARIFAS ISPT, SUBSIDO AL EMPLEO'!G5:I15,3)/C6*C7</f>
        <v>0</v>
      </c>
      <c r="M18" s="23"/>
      <c r="N18" s="27"/>
    </row>
    <row r="19" spans="2:14" x14ac:dyDescent="0.2">
      <c r="B19" t="s">
        <v>99</v>
      </c>
      <c r="C19" s="98">
        <v>30</v>
      </c>
      <c r="D19" s="98"/>
      <c r="E19" s="26"/>
      <c r="I19" s="57" t="s">
        <v>44</v>
      </c>
      <c r="J19" s="26" t="s">
        <v>49</v>
      </c>
      <c r="K19" s="25">
        <f>IF(K17&gt;K18,K17-K18,0)</f>
        <v>380.66763157894752</v>
      </c>
      <c r="M19" s="94" t="s">
        <v>50</v>
      </c>
      <c r="N19" s="95"/>
    </row>
    <row r="20" spans="2:14" ht="16" thickBot="1" x14ac:dyDescent="0.25">
      <c r="E20" s="26"/>
      <c r="I20" s="59" t="s">
        <v>44</v>
      </c>
      <c r="J20" s="37" t="s">
        <v>51</v>
      </c>
      <c r="K20" s="29">
        <f>IF(K17&lt;K18,K18-K17,0)</f>
        <v>0</v>
      </c>
      <c r="M20" s="23" t="s">
        <v>52</v>
      </c>
      <c r="N20" s="25">
        <f>C21</f>
        <v>313.56164383561645</v>
      </c>
    </row>
    <row r="21" spans="2:14" ht="20" thickBot="1" x14ac:dyDescent="0.25">
      <c r="B21" s="10" t="s">
        <v>72</v>
      </c>
      <c r="C21" s="92">
        <f>'SBC 2018'!E3</f>
        <v>313.56164383561645</v>
      </c>
      <c r="D21" s="93"/>
      <c r="E21" s="26"/>
      <c r="M21" s="23" t="s">
        <v>54</v>
      </c>
      <c r="N21" s="27">
        <f>C7</f>
        <v>15</v>
      </c>
    </row>
    <row r="22" spans="2:14" x14ac:dyDescent="0.2">
      <c r="B22" s="10" t="s">
        <v>102</v>
      </c>
      <c r="C22" s="91">
        <v>15.023199999999999</v>
      </c>
      <c r="D22" s="91"/>
      <c r="E22" s="26"/>
      <c r="M22" s="23" t="s">
        <v>56</v>
      </c>
      <c r="N22" s="25">
        <f>N20*N21</f>
        <v>4703.4246575342468</v>
      </c>
    </row>
    <row r="23" spans="2:14" x14ac:dyDescent="0.2">
      <c r="E23" s="26"/>
      <c r="M23" s="23" t="s">
        <v>57</v>
      </c>
      <c r="N23" s="31">
        <f>N16</f>
        <v>2.375E-2</v>
      </c>
    </row>
    <row r="24" spans="2:14" x14ac:dyDescent="0.2">
      <c r="E24" s="26"/>
      <c r="M24" s="23" t="s">
        <v>58</v>
      </c>
      <c r="N24" s="25">
        <f>N22*N23</f>
        <v>111.70633561643837</v>
      </c>
    </row>
    <row r="25" spans="2:14" x14ac:dyDescent="0.2">
      <c r="B25" s="104" t="s">
        <v>40</v>
      </c>
      <c r="C25" s="105"/>
      <c r="D25" s="105"/>
      <c r="E25" s="26"/>
      <c r="M25" s="23"/>
      <c r="N25" s="27"/>
    </row>
    <row r="26" spans="2:14" ht="16" thickBot="1" x14ac:dyDescent="0.25">
      <c r="E26" s="26"/>
      <c r="M26" s="23" t="s">
        <v>59</v>
      </c>
      <c r="N26" s="40" t="str">
        <f>IF(N20&gt;N7,"SI","NO")</f>
        <v>SI</v>
      </c>
    </row>
    <row r="27" spans="2:14" ht="19" x14ac:dyDescent="0.2">
      <c r="B27" s="21" t="s">
        <v>43</v>
      </c>
      <c r="C27" s="100">
        <f>C9</f>
        <v>4500</v>
      </c>
      <c r="D27" s="101"/>
      <c r="E27" s="26"/>
      <c r="M27" s="23"/>
      <c r="N27" s="27"/>
    </row>
    <row r="28" spans="2:14" ht="19" x14ac:dyDescent="0.2">
      <c r="B28" s="23" t="s">
        <v>46</v>
      </c>
      <c r="C28" s="102">
        <f>K17</f>
        <v>380.66763157894752</v>
      </c>
      <c r="D28" s="103"/>
      <c r="M28" s="23" t="s">
        <v>60</v>
      </c>
      <c r="N28" s="25">
        <f>IF(N26="SI",N20-N7,0)</f>
        <v>71.761643835616468</v>
      </c>
    </row>
    <row r="29" spans="2:14" ht="19" x14ac:dyDescent="0.2">
      <c r="B29" s="23" t="s">
        <v>48</v>
      </c>
      <c r="C29" s="102">
        <f>K18</f>
        <v>0</v>
      </c>
      <c r="D29" s="103"/>
      <c r="E29" s="26"/>
      <c r="M29" s="23" t="s">
        <v>54</v>
      </c>
      <c r="N29" s="27">
        <f>N21</f>
        <v>15</v>
      </c>
    </row>
    <row r="30" spans="2:14" ht="21" x14ac:dyDescent="0.25">
      <c r="B30" s="23" t="str">
        <f>IF(C30&gt;0,"ISPT A CARGO ","SUBSIDIO A FAVOR")</f>
        <v xml:space="preserve">ISPT A CARGO </v>
      </c>
      <c r="C30" s="102">
        <f>C28-C29</f>
        <v>380.66763157894752</v>
      </c>
      <c r="D30" s="103"/>
      <c r="E30" s="54"/>
      <c r="F30" s="54"/>
      <c r="G30" s="54"/>
      <c r="M30" s="23" t="s">
        <v>61</v>
      </c>
      <c r="N30" s="25">
        <f>N28*N29</f>
        <v>1076.424657534247</v>
      </c>
    </row>
    <row r="31" spans="2:14" ht="21" x14ac:dyDescent="0.25">
      <c r="B31" s="23" t="s">
        <v>53</v>
      </c>
      <c r="C31" s="102">
        <f>N35</f>
        <v>116.01203424657535</v>
      </c>
      <c r="D31" s="103"/>
      <c r="E31" s="52"/>
      <c r="F31" s="52"/>
      <c r="G31" s="52"/>
      <c r="M31" s="23" t="s">
        <v>62</v>
      </c>
      <c r="N31" s="30">
        <f>0.004</f>
        <v>4.0000000000000001E-3</v>
      </c>
    </row>
    <row r="32" spans="2:14" ht="21" x14ac:dyDescent="0.2">
      <c r="B32" s="23" t="s">
        <v>71</v>
      </c>
      <c r="C32" s="102">
        <f>DATOS!D25</f>
        <v>619.51012881355928</v>
      </c>
      <c r="D32" s="103"/>
      <c r="E32" s="53"/>
      <c r="F32" s="53"/>
      <c r="G32" s="53"/>
      <c r="M32" s="23" t="s">
        <v>63</v>
      </c>
      <c r="N32" s="25">
        <f>N30*N31</f>
        <v>4.3056986301369884</v>
      </c>
    </row>
    <row r="33" spans="2:14" ht="20" thickBot="1" x14ac:dyDescent="0.25">
      <c r="B33" s="60" t="s">
        <v>55</v>
      </c>
      <c r="C33" s="92">
        <f>C27-C30-C31-C32</f>
        <v>3383.8102053609182</v>
      </c>
      <c r="D33" s="93"/>
      <c r="E33" s="26"/>
      <c r="M33" s="23" t="s">
        <v>64</v>
      </c>
      <c r="N33" s="25">
        <f>N24</f>
        <v>111.70633561643837</v>
      </c>
    </row>
    <row r="34" spans="2:14" x14ac:dyDescent="0.2">
      <c r="E34" s="26"/>
      <c r="M34" s="23"/>
      <c r="N34" s="27"/>
    </row>
    <row r="35" spans="2:14" ht="16" thickBot="1" x14ac:dyDescent="0.25">
      <c r="B35" s="26"/>
      <c r="C35" s="26"/>
      <c r="D35" s="26"/>
      <c r="E35" s="70"/>
      <c r="F35" s="70"/>
      <c r="M35" s="38" t="s">
        <v>65</v>
      </c>
      <c r="N35" s="39">
        <f>+N32+N33</f>
        <v>116.01203424657535</v>
      </c>
    </row>
    <row r="36" spans="2:14" ht="21" x14ac:dyDescent="0.25">
      <c r="B36" s="56" t="s">
        <v>75</v>
      </c>
      <c r="C36" s="81"/>
      <c r="D36" s="81"/>
      <c r="E36" s="71"/>
      <c r="F36" s="71"/>
    </row>
    <row r="37" spans="2:14" x14ac:dyDescent="0.2">
      <c r="B37" s="71"/>
      <c r="C37" s="71"/>
      <c r="D37" s="72"/>
      <c r="E37" s="72"/>
      <c r="F37" s="72"/>
    </row>
    <row r="38" spans="2:14" x14ac:dyDescent="0.2">
      <c r="B38" s="70"/>
      <c r="C38" s="73"/>
      <c r="D38" s="74"/>
      <c r="E38" s="75"/>
      <c r="F38" s="75"/>
    </row>
    <row r="39" spans="2:14" x14ac:dyDescent="0.2">
      <c r="B39" s="70"/>
      <c r="C39" s="73"/>
      <c r="D39" s="70"/>
      <c r="E39" s="70"/>
      <c r="F39" s="70"/>
    </row>
    <row r="40" spans="2:14" x14ac:dyDescent="0.2">
      <c r="B40" s="90" t="s">
        <v>107</v>
      </c>
      <c r="C40" s="70"/>
      <c r="D40" s="70"/>
      <c r="E40" s="97"/>
      <c r="F40" s="97"/>
    </row>
    <row r="41" spans="2:14" x14ac:dyDescent="0.2">
      <c r="B41" s="70" t="s">
        <v>108</v>
      </c>
      <c r="C41" s="76"/>
      <c r="D41" s="70"/>
      <c r="E41" s="70"/>
      <c r="F41" s="77"/>
    </row>
    <row r="42" spans="2:14" ht="60" customHeight="1" x14ac:dyDescent="0.2">
      <c r="B42" s="70"/>
      <c r="C42" s="70"/>
      <c r="D42" s="78"/>
      <c r="E42" s="70"/>
      <c r="F42" s="77"/>
    </row>
    <row r="43" spans="2:14" x14ac:dyDescent="0.2">
      <c r="B43" s="70"/>
      <c r="C43" s="70"/>
      <c r="D43" s="78"/>
      <c r="E43" s="70"/>
      <c r="F43" s="77"/>
    </row>
    <row r="44" spans="2:14" x14ac:dyDescent="0.2">
      <c r="B44" s="70"/>
      <c r="C44" s="70"/>
      <c r="D44" s="78"/>
      <c r="E44" s="70"/>
      <c r="F44" s="79"/>
    </row>
    <row r="45" spans="2:14" x14ac:dyDescent="0.2">
      <c r="B45" s="80"/>
      <c r="C45" s="70"/>
      <c r="D45" s="78"/>
      <c r="E45" s="70"/>
      <c r="F45" s="77"/>
    </row>
  </sheetData>
  <sheetProtection password="DE16" sheet="1" objects="1" scenarios="1"/>
  <mergeCells count="24">
    <mergeCell ref="C21:D21"/>
    <mergeCell ref="F4:H4"/>
    <mergeCell ref="F7:H7"/>
    <mergeCell ref="F8:H8"/>
    <mergeCell ref="B5:D5"/>
    <mergeCell ref="C6:D6"/>
    <mergeCell ref="C7:D7"/>
    <mergeCell ref="C8:D8"/>
    <mergeCell ref="C22:D22"/>
    <mergeCell ref="C9:D9"/>
    <mergeCell ref="M19:N19"/>
    <mergeCell ref="C11:D11"/>
    <mergeCell ref="E40:F40"/>
    <mergeCell ref="C17:D17"/>
    <mergeCell ref="C18:D18"/>
    <mergeCell ref="C19:D19"/>
    <mergeCell ref="C27:D27"/>
    <mergeCell ref="C28:D28"/>
    <mergeCell ref="C29:D29"/>
    <mergeCell ref="C30:D30"/>
    <mergeCell ref="C31:D31"/>
    <mergeCell ref="C32:D32"/>
    <mergeCell ref="C33:D33"/>
    <mergeCell ref="B25:D25"/>
  </mergeCells>
  <dataValidations count="4">
    <dataValidation type="list" allowBlank="1" showInputMessage="1" showErrorMessage="1" sqref="D12 C11">
      <formula1>VALORdesc</formula1>
    </dataValidation>
    <dataValidation type="list" allowBlank="1" showInputMessage="1" showErrorMessage="1" errorTitle="SBC" error="Solo se permiten datos de la lista" sqref="C38">
      <formula1>SM</formula1>
    </dataValidation>
    <dataValidation type="list" allowBlank="1" showInputMessage="1" showErrorMessage="1" errorTitle="SBC" error="Solo se permiten datos de la lista" sqref="C43">
      <formula1>AREA</formula1>
    </dataValidation>
    <dataValidation type="custom" allowBlank="1" showInputMessage="1" showErrorMessage="1" errorTitle="SBC" error="La celda tiene formula" sqref="E38:F38">
      <formula1>""</formula1>
    </dataValidation>
  </dataValidations>
  <pageMargins left="0.15748031496062992" right="0.15748031496062992" top="0.31496062992125984" bottom="0.27559055118110237" header="0.31496062992125984" footer="0.31496062992125984"/>
  <pageSetup scale="6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5"/>
  <sheetViews>
    <sheetView workbookViewId="0">
      <selection activeCell="B7" sqref="B7"/>
    </sheetView>
  </sheetViews>
  <sheetFormatPr baseColWidth="10" defaultRowHeight="15" x14ac:dyDescent="0.2"/>
  <cols>
    <col min="1" max="1" width="12.6640625" customWidth="1"/>
    <col min="2" max="2" width="30.5" customWidth="1"/>
    <col min="3" max="3" width="3.33203125" customWidth="1"/>
    <col min="4" max="4" width="15.5" customWidth="1"/>
    <col min="5" max="5" width="4" customWidth="1"/>
    <col min="6" max="6" width="13.33203125" customWidth="1"/>
    <col min="7" max="7" width="3.5" customWidth="1"/>
    <col min="8" max="8" width="11.83203125" bestFit="1" customWidth="1"/>
    <col min="9" max="9" width="4" customWidth="1"/>
  </cols>
  <sheetData>
    <row r="2" spans="2:7" ht="31.5" customHeight="1" x14ac:dyDescent="0.2">
      <c r="B2" s="114" t="s">
        <v>105</v>
      </c>
      <c r="C2" s="114"/>
      <c r="D2" s="114"/>
    </row>
    <row r="4" spans="2:7" ht="19.5" customHeight="1" x14ac:dyDescent="0.2">
      <c r="B4" s="10" t="s">
        <v>19</v>
      </c>
      <c r="C4" s="112">
        <f>'ISPT-INFO-IMSS TRABAJADOR 2018'!C7:D7</f>
        <v>15</v>
      </c>
      <c r="D4" s="113"/>
    </row>
    <row r="5" spans="2:7" ht="19.5" customHeight="1" x14ac:dyDescent="0.2">
      <c r="B5" s="10" t="s">
        <v>104</v>
      </c>
      <c r="C5" s="115">
        <v>88.36</v>
      </c>
      <c r="D5" s="115">
        <v>80.040000000000006</v>
      </c>
    </row>
    <row r="6" spans="2:7" ht="19.5" customHeight="1" x14ac:dyDescent="0.2">
      <c r="B6" s="10" t="s">
        <v>112</v>
      </c>
      <c r="C6" s="115">
        <v>80.599999999999994</v>
      </c>
      <c r="D6" s="115"/>
    </row>
    <row r="7" spans="2:7" x14ac:dyDescent="0.2">
      <c r="B7" s="10" t="s">
        <v>17</v>
      </c>
      <c r="C7" s="115">
        <v>15</v>
      </c>
      <c r="D7" s="115"/>
    </row>
    <row r="8" spans="2:7" ht="19.5" customHeight="1" x14ac:dyDescent="0.2">
      <c r="B8" s="10" t="s">
        <v>10</v>
      </c>
      <c r="C8" s="96">
        <f>'ISPT-INFO-IMSS TRABAJADOR 2018'!C11:D11</f>
        <v>1</v>
      </c>
      <c r="D8" s="96"/>
    </row>
    <row r="9" spans="2:7" x14ac:dyDescent="0.2">
      <c r="C9" s="11">
        <v>1</v>
      </c>
      <c r="D9" s="11" t="s">
        <v>12</v>
      </c>
    </row>
    <row r="10" spans="2:7" x14ac:dyDescent="0.2">
      <c r="C10" s="11">
        <v>2</v>
      </c>
      <c r="D10" s="11" t="s">
        <v>14</v>
      </c>
    </row>
    <row r="11" spans="2:7" x14ac:dyDescent="0.2">
      <c r="C11" s="11">
        <v>3</v>
      </c>
      <c r="D11" s="11" t="s">
        <v>13</v>
      </c>
    </row>
    <row r="12" spans="2:7" x14ac:dyDescent="0.2">
      <c r="B12" s="10" t="s">
        <v>15</v>
      </c>
      <c r="C12" s="96">
        <f>'ISPT-INFO-IMSS TRABAJADOR 2018'!C21:D21</f>
        <v>313.56164383561645</v>
      </c>
      <c r="D12" s="96"/>
    </row>
    <row r="13" spans="2:7" x14ac:dyDescent="0.2">
      <c r="B13" s="10" t="s">
        <v>11</v>
      </c>
      <c r="C13" s="91">
        <f>'ISPT-INFO-IMSS TRABAJADOR 2018'!C22:D22</f>
        <v>15.023199999999999</v>
      </c>
      <c r="D13" s="91"/>
    </row>
    <row r="14" spans="2:7" ht="51" customHeight="1" x14ac:dyDescent="0.2">
      <c r="B14" s="12" t="s">
        <v>16</v>
      </c>
      <c r="C14" s="13" t="s">
        <v>1</v>
      </c>
      <c r="D14" s="14" t="s">
        <v>2</v>
      </c>
    </row>
    <row r="15" spans="2:7" x14ac:dyDescent="0.2">
      <c r="B15" t="s">
        <v>4</v>
      </c>
      <c r="C15" s="9"/>
      <c r="D15" s="7">
        <f>VLOOKUP(C8,result,3)</f>
        <v>2436.7398399999997</v>
      </c>
      <c r="G15" s="1"/>
    </row>
    <row r="16" spans="2:7" x14ac:dyDescent="0.2">
      <c r="B16" t="s">
        <v>5</v>
      </c>
      <c r="C16" s="9"/>
      <c r="D16" s="7">
        <f>VLOOKUP(C8,result,4)</f>
        <v>2436.7398399999997</v>
      </c>
    </row>
    <row r="17" spans="2:6" x14ac:dyDescent="0.2">
      <c r="B17" t="s">
        <v>6</v>
      </c>
      <c r="C17" s="9"/>
      <c r="D17" s="7">
        <f>VLOOKUP(C8,result,5)</f>
        <v>2436.7398399999997</v>
      </c>
    </row>
    <row r="18" spans="2:6" x14ac:dyDescent="0.2">
      <c r="B18" t="s">
        <v>7</v>
      </c>
      <c r="C18" s="9"/>
      <c r="D18" s="7">
        <f>VLOOKUP(C8,result,6)</f>
        <v>2436.7398399999997</v>
      </c>
    </row>
    <row r="19" spans="2:6" x14ac:dyDescent="0.2">
      <c r="B19" t="s">
        <v>8</v>
      </c>
      <c r="C19" s="9"/>
      <c r="D19" s="7">
        <f>VLOOKUP(C8,result,7)</f>
        <v>2436.7398399999997</v>
      </c>
    </row>
    <row r="20" spans="2:6" x14ac:dyDescent="0.2">
      <c r="B20" t="s">
        <v>9</v>
      </c>
      <c r="C20" s="9"/>
      <c r="D20" s="7">
        <f>VLOOKUP(C8,result,8)</f>
        <v>2436.7398399999997</v>
      </c>
    </row>
    <row r="22" spans="2:6" x14ac:dyDescent="0.2">
      <c r="B22" s="12" t="s">
        <v>18</v>
      </c>
      <c r="C22" s="12"/>
      <c r="D22" s="16">
        <f>SUM(D15:D21)</f>
        <v>14620.439039999999</v>
      </c>
      <c r="F22">
        <f>IF(15,0,D23)</f>
        <v>0</v>
      </c>
    </row>
    <row r="23" spans="2:6" ht="32.25" customHeight="1" x14ac:dyDescent="0.2">
      <c r="B23" s="15" t="s">
        <v>20</v>
      </c>
      <c r="D23" s="16">
        <f>VLOOKUP(C8,result,2)*C4</f>
        <v>619.51012881355928</v>
      </c>
    </row>
    <row r="25" spans="2:6" x14ac:dyDescent="0.2">
      <c r="D25" s="16">
        <f>IF(D23&gt;3.82,D23,0)</f>
        <v>619.51012881355928</v>
      </c>
    </row>
  </sheetData>
  <sheetProtection password="DE16" sheet="1" objects="1" scenarios="1"/>
  <mergeCells count="8">
    <mergeCell ref="C13:D13"/>
    <mergeCell ref="C4:D4"/>
    <mergeCell ref="B2:D2"/>
    <mergeCell ref="C8:D8"/>
    <mergeCell ref="C7:D7"/>
    <mergeCell ref="C6:D6"/>
    <mergeCell ref="C12:D12"/>
    <mergeCell ref="C5:D5"/>
  </mergeCells>
  <dataValidations count="1">
    <dataValidation type="list" allowBlank="1" showInputMessage="1" showErrorMessage="1" sqref="D9 C8">
      <formula1>VALORdesc</formula1>
    </dataValidation>
  </dataValidations>
  <pageMargins left="0.7" right="0.7" top="0.75" bottom="0.75" header="0.3" footer="0.3"/>
  <pageSetup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A8" sqref="A8"/>
    </sheetView>
  </sheetViews>
  <sheetFormatPr baseColWidth="10" defaultRowHeight="15" x14ac:dyDescent="0.2"/>
  <cols>
    <col min="1" max="1" width="26.83203125" customWidth="1"/>
    <col min="2" max="2" width="12.83203125" customWidth="1"/>
    <col min="3" max="4" width="13.5" customWidth="1"/>
    <col min="5" max="5" width="13.6640625" customWidth="1"/>
  </cols>
  <sheetData>
    <row r="1" spans="1:5" s="84" customFormat="1" x14ac:dyDescent="0.2">
      <c r="C1" s="116" t="s">
        <v>52</v>
      </c>
      <c r="D1" s="116"/>
      <c r="E1" s="116"/>
    </row>
    <row r="2" spans="1:5" s="84" customFormat="1" x14ac:dyDescent="0.2">
      <c r="A2" s="85" t="s">
        <v>78</v>
      </c>
      <c r="B2" s="85" t="s">
        <v>79</v>
      </c>
      <c r="C2" s="86" t="s">
        <v>80</v>
      </c>
      <c r="D2" s="86" t="s">
        <v>81</v>
      </c>
      <c r="E2" s="86" t="s">
        <v>82</v>
      </c>
    </row>
    <row r="3" spans="1:5" x14ac:dyDescent="0.2">
      <c r="A3" s="61" t="s">
        <v>83</v>
      </c>
      <c r="B3" s="62">
        <f>DATOS!C5</f>
        <v>88.36</v>
      </c>
      <c r="C3" s="63">
        <f>IF(AND(B4&lt;&gt;"",ISNUMBER(E10)),(B4*E10),0)</f>
        <v>313.56164383561645</v>
      </c>
      <c r="D3" s="61">
        <v>0</v>
      </c>
      <c r="E3" s="64">
        <f>SUMIF(C3:D3,"&gt;0")</f>
        <v>313.56164383561645</v>
      </c>
    </row>
    <row r="4" spans="1:5" x14ac:dyDescent="0.2">
      <c r="A4" s="61" t="s">
        <v>84</v>
      </c>
      <c r="B4" s="62">
        <f>'ISPT-INFO-IMSS TRABAJADOR 2018'!C8</f>
        <v>300</v>
      </c>
    </row>
    <row r="5" spans="1:5" x14ac:dyDescent="0.2">
      <c r="A5" s="61" t="s">
        <v>85</v>
      </c>
      <c r="B5" s="61">
        <v>6</v>
      </c>
      <c r="D5" s="117" t="s">
        <v>86</v>
      </c>
      <c r="E5" s="117"/>
    </row>
    <row r="6" spans="1:5" x14ac:dyDescent="0.2">
      <c r="A6" s="61" t="s">
        <v>87</v>
      </c>
      <c r="B6" s="65">
        <f>'ISPT-INFO-IMSS TRABAJADOR 2018'!C18</f>
        <v>0.25</v>
      </c>
      <c r="D6" t="s">
        <v>88</v>
      </c>
      <c r="E6" s="3">
        <f>IF(AND(B5&lt;&gt;"",B6&lt;&gt;""),(B5/365)*B6,"")</f>
        <v>4.10958904109589E-3</v>
      </c>
    </row>
    <row r="7" spans="1:5" x14ac:dyDescent="0.2">
      <c r="A7" s="61" t="s">
        <v>89</v>
      </c>
      <c r="B7" s="61">
        <v>15</v>
      </c>
      <c r="C7" s="66" t="s">
        <v>90</v>
      </c>
      <c r="D7" t="s">
        <v>91</v>
      </c>
      <c r="E7" s="67">
        <f>IF(B7&lt;&gt;"",B7/365,"")</f>
        <v>4.1095890410958902E-2</v>
      </c>
    </row>
    <row r="8" spans="1:5" x14ac:dyDescent="0.2">
      <c r="A8" s="68" t="s">
        <v>92</v>
      </c>
      <c r="B8" s="61" t="s">
        <v>93</v>
      </c>
      <c r="C8" s="66" t="s">
        <v>94</v>
      </c>
      <c r="D8" t="s">
        <v>82</v>
      </c>
      <c r="E8" s="3">
        <f>IF(AND(ISNUMBER(E6),ISNUMBER(E7)),E6+E7,"")</f>
        <v>4.5205479452054789E-2</v>
      </c>
    </row>
    <row r="9" spans="1:5" x14ac:dyDescent="0.2">
      <c r="C9" s="66" t="s">
        <v>90</v>
      </c>
      <c r="D9" t="s">
        <v>95</v>
      </c>
      <c r="E9" s="69">
        <v>1</v>
      </c>
    </row>
    <row r="10" spans="1:5" s="84" customFormat="1" ht="16" thickBot="1" x14ac:dyDescent="0.25">
      <c r="A10" s="87" t="s">
        <v>96</v>
      </c>
      <c r="C10" s="88" t="s">
        <v>94</v>
      </c>
      <c r="D10" s="84" t="s">
        <v>97</v>
      </c>
      <c r="E10" s="89">
        <f>IF(ISNUMBER(E8),E8+E9,"")</f>
        <v>1.0452054794520549</v>
      </c>
    </row>
    <row r="11" spans="1:5" ht="16" thickTop="1" x14ac:dyDescent="0.2"/>
  </sheetData>
  <mergeCells count="2">
    <mergeCell ref="C1:E1"/>
    <mergeCell ref="D5:E5"/>
  </mergeCells>
  <dataValidations count="2">
    <dataValidation type="list" allowBlank="1" showInputMessage="1" showErrorMessage="1" errorTitle="SBC" error="Solo se permiten datos de la lista" sqref="B3">
      <formula1>SM</formula1>
    </dataValidation>
    <dataValidation type="custom" allowBlank="1" showInputMessage="1" showErrorMessage="1" errorTitle="SBC" error="La celda tiene formula" sqref="E3">
      <formula1>""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5"/>
  <sheetViews>
    <sheetView workbookViewId="0">
      <selection activeCell="G3" sqref="G3"/>
    </sheetView>
  </sheetViews>
  <sheetFormatPr baseColWidth="10" defaultRowHeight="15" x14ac:dyDescent="0.2"/>
  <cols>
    <col min="2" max="2" width="13.6640625" bestFit="1" customWidth="1"/>
    <col min="3" max="3" width="16.33203125" bestFit="1" customWidth="1"/>
    <col min="5" max="5" width="20.33203125" customWidth="1"/>
    <col min="7" max="7" width="21.1640625" customWidth="1"/>
    <col min="8" max="8" width="14.6640625" bestFit="1" customWidth="1"/>
    <col min="9" max="9" width="12.1640625" customWidth="1"/>
    <col min="11" max="11" width="13.33203125" bestFit="1" customWidth="1"/>
    <col min="13" max="13" width="12.83203125" customWidth="1"/>
    <col min="14" max="14" width="12.5" bestFit="1" customWidth="1"/>
    <col min="15" max="15" width="16.5" customWidth="1"/>
  </cols>
  <sheetData>
    <row r="1" spans="2:9" ht="16" thickBot="1" x14ac:dyDescent="0.25"/>
    <row r="2" spans="2:9" ht="16" thickBot="1" x14ac:dyDescent="0.25">
      <c r="B2" s="118" t="s">
        <v>110</v>
      </c>
      <c r="C2" s="119"/>
      <c r="D2" s="119"/>
      <c r="E2" s="120"/>
      <c r="F2" s="41"/>
      <c r="G2" s="118" t="s">
        <v>111</v>
      </c>
      <c r="H2" s="119"/>
      <c r="I2" s="120"/>
    </row>
    <row r="3" spans="2:9" ht="16" thickBot="1" x14ac:dyDescent="0.25"/>
    <row r="4" spans="2:9" x14ac:dyDescent="0.2">
      <c r="B4" s="42" t="s">
        <v>66</v>
      </c>
      <c r="C4" s="43" t="s">
        <v>67</v>
      </c>
      <c r="D4" s="43" t="s">
        <v>68</v>
      </c>
      <c r="E4" s="44" t="s">
        <v>69</v>
      </c>
      <c r="G4" s="42" t="s">
        <v>66</v>
      </c>
      <c r="H4" s="43" t="s">
        <v>67</v>
      </c>
      <c r="I4" s="45" t="s">
        <v>68</v>
      </c>
    </row>
    <row r="5" spans="2:9" x14ac:dyDescent="0.2">
      <c r="B5" s="46">
        <v>0.01</v>
      </c>
      <c r="C5" s="47">
        <v>578.52</v>
      </c>
      <c r="D5" s="47">
        <v>0</v>
      </c>
      <c r="E5" s="48">
        <v>1.9199999999999998E-2</v>
      </c>
      <c r="G5" s="46">
        <v>0.01</v>
      </c>
      <c r="H5" s="47">
        <v>1768.96</v>
      </c>
      <c r="I5" s="25">
        <v>407.02</v>
      </c>
    </row>
    <row r="6" spans="2:9" x14ac:dyDescent="0.2">
      <c r="B6" s="46">
        <v>578.53</v>
      </c>
      <c r="C6" s="47">
        <v>4910.18</v>
      </c>
      <c r="D6" s="47">
        <v>11.11</v>
      </c>
      <c r="E6" s="48">
        <v>6.4000000000000001E-2</v>
      </c>
      <c r="G6" s="46">
        <v>1768.97</v>
      </c>
      <c r="H6" s="47">
        <v>2653.38</v>
      </c>
      <c r="I6" s="25">
        <v>406.83</v>
      </c>
    </row>
    <row r="7" spans="2:9" x14ac:dyDescent="0.2">
      <c r="B7" s="46">
        <v>4910.1899999999996</v>
      </c>
      <c r="C7" s="47">
        <v>8629.2000000000007</v>
      </c>
      <c r="D7" s="47">
        <v>288.33</v>
      </c>
      <c r="E7" s="48">
        <v>0.10879999999999999</v>
      </c>
      <c r="G7" s="46">
        <v>2653.39</v>
      </c>
      <c r="H7" s="47">
        <v>3472.84</v>
      </c>
      <c r="I7" s="25">
        <v>406.62</v>
      </c>
    </row>
    <row r="8" spans="2:9" x14ac:dyDescent="0.2">
      <c r="B8" s="46">
        <v>8629.2099999999991</v>
      </c>
      <c r="C8" s="47">
        <v>10031.07</v>
      </c>
      <c r="D8" s="47">
        <v>692.96</v>
      </c>
      <c r="E8" s="48">
        <v>0.16</v>
      </c>
      <c r="G8" s="46">
        <v>3472.85</v>
      </c>
      <c r="H8" s="47">
        <v>3537.87</v>
      </c>
      <c r="I8" s="25">
        <v>392.77</v>
      </c>
    </row>
    <row r="9" spans="2:9" x14ac:dyDescent="0.2">
      <c r="B9" s="46">
        <v>10031.08</v>
      </c>
      <c r="C9" s="47">
        <v>12009.94</v>
      </c>
      <c r="D9" s="47">
        <v>917.26</v>
      </c>
      <c r="E9" s="48">
        <v>0.1792</v>
      </c>
      <c r="G9" s="46">
        <v>3537.88</v>
      </c>
      <c r="H9" s="47">
        <v>4446.1499999999996</v>
      </c>
      <c r="I9" s="25">
        <v>382.46</v>
      </c>
    </row>
    <row r="10" spans="2:9" x14ac:dyDescent="0.2">
      <c r="B10" s="46">
        <v>12009.95</v>
      </c>
      <c r="C10" s="47">
        <v>24222.31</v>
      </c>
      <c r="D10" s="47">
        <v>1271.8699999999999</v>
      </c>
      <c r="E10" s="48">
        <v>0.21360000000000001</v>
      </c>
      <c r="G10" s="46">
        <v>4446.16</v>
      </c>
      <c r="H10" s="47">
        <v>4717.18</v>
      </c>
      <c r="I10" s="25">
        <v>354.23</v>
      </c>
    </row>
    <row r="11" spans="2:9" x14ac:dyDescent="0.2">
      <c r="B11" s="46">
        <v>24222.32</v>
      </c>
      <c r="C11" s="47">
        <v>38177.69</v>
      </c>
      <c r="D11" s="47">
        <v>3880.44</v>
      </c>
      <c r="E11" s="48">
        <v>0.23519999999999999</v>
      </c>
      <c r="G11" s="46">
        <v>4717.1899999999996</v>
      </c>
      <c r="H11" s="47">
        <v>5335.42</v>
      </c>
      <c r="I11" s="25">
        <v>324.87</v>
      </c>
    </row>
    <row r="12" spans="2:9" x14ac:dyDescent="0.2">
      <c r="B12" s="46">
        <v>38177.699999999997</v>
      </c>
      <c r="C12" s="47">
        <v>72887.5</v>
      </c>
      <c r="D12" s="47">
        <v>7162.74</v>
      </c>
      <c r="E12" s="48">
        <v>0.3</v>
      </c>
      <c r="G12" s="46">
        <v>5335.43</v>
      </c>
      <c r="H12" s="47">
        <v>6224.67</v>
      </c>
      <c r="I12" s="25">
        <v>294.63</v>
      </c>
    </row>
    <row r="13" spans="2:9" x14ac:dyDescent="0.2">
      <c r="B13" s="46">
        <v>72887.509999999995</v>
      </c>
      <c r="C13" s="47">
        <v>97183.33</v>
      </c>
      <c r="D13" s="47">
        <v>17575.689999999999</v>
      </c>
      <c r="E13" s="48">
        <v>0.32</v>
      </c>
      <c r="G13" s="46">
        <v>6224.68</v>
      </c>
      <c r="H13" s="47">
        <v>7113.9</v>
      </c>
      <c r="I13" s="25">
        <v>253.54</v>
      </c>
    </row>
    <row r="14" spans="2:9" x14ac:dyDescent="0.2">
      <c r="B14" s="46">
        <v>97183.34</v>
      </c>
      <c r="C14" s="47">
        <v>291550</v>
      </c>
      <c r="D14" s="47">
        <v>25350.35</v>
      </c>
      <c r="E14" s="48">
        <v>0.34</v>
      </c>
      <c r="G14" s="46">
        <v>7113.91</v>
      </c>
      <c r="H14" s="47">
        <v>7382.33</v>
      </c>
      <c r="I14" s="25">
        <v>217.61</v>
      </c>
    </row>
    <row r="15" spans="2:9" ht="16" thickBot="1" x14ac:dyDescent="0.25">
      <c r="B15" s="49">
        <v>291550.01</v>
      </c>
      <c r="C15" s="50">
        <v>999999999</v>
      </c>
      <c r="D15" s="50">
        <v>91435.02</v>
      </c>
      <c r="E15" s="51">
        <v>0.35</v>
      </c>
      <c r="G15" s="49">
        <v>7382.34</v>
      </c>
      <c r="H15" s="50">
        <v>999999999</v>
      </c>
      <c r="I15" s="29">
        <v>0</v>
      </c>
    </row>
  </sheetData>
  <sheetProtection password="DE16" sheet="1" objects="1" scenarios="1"/>
  <mergeCells count="2">
    <mergeCell ref="B2:E2"/>
    <mergeCell ref="G2:I2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8"/>
  <sheetViews>
    <sheetView workbookViewId="0">
      <selection activeCell="C2" sqref="C2"/>
    </sheetView>
  </sheetViews>
  <sheetFormatPr baseColWidth="10" defaultRowHeight="15" x14ac:dyDescent="0.2"/>
  <cols>
    <col min="1" max="1" width="4.5" customWidth="1"/>
    <col min="2" max="2" width="14.5" customWidth="1"/>
    <col min="3" max="3" width="16.5" bestFit="1" customWidth="1"/>
    <col min="4" max="4" width="11.83203125" bestFit="1" customWidth="1"/>
    <col min="5" max="5" width="19.5" customWidth="1"/>
    <col min="6" max="6" width="18.6640625" customWidth="1"/>
    <col min="7" max="9" width="13.83203125" customWidth="1"/>
  </cols>
  <sheetData>
    <row r="2" spans="2:9" ht="30" x14ac:dyDescent="0.2">
      <c r="B2" s="5" t="s">
        <v>3</v>
      </c>
      <c r="C2" s="17">
        <f>DATOS!C6</f>
        <v>80.599999999999994</v>
      </c>
      <c r="D2" t="s">
        <v>77</v>
      </c>
    </row>
    <row r="3" spans="2:9" x14ac:dyDescent="0.2">
      <c r="B3" s="2"/>
      <c r="C3" s="2"/>
    </row>
    <row r="4" spans="2:9" x14ac:dyDescent="0.2">
      <c r="B4" t="s">
        <v>15</v>
      </c>
      <c r="D4" s="3">
        <f>DATOS!C12</f>
        <v>313.56164383561645</v>
      </c>
    </row>
    <row r="5" spans="2:9" x14ac:dyDescent="0.2">
      <c r="B5" t="s">
        <v>0</v>
      </c>
      <c r="D5" s="3">
        <f>DATOS!C13</f>
        <v>15.023199999999999</v>
      </c>
    </row>
    <row r="6" spans="2:9" x14ac:dyDescent="0.2">
      <c r="D6" t="s">
        <v>4</v>
      </c>
      <c r="E6" t="s">
        <v>5</v>
      </c>
      <c r="F6" t="s">
        <v>6</v>
      </c>
      <c r="G6" t="s">
        <v>7</v>
      </c>
      <c r="H6" t="s">
        <v>8</v>
      </c>
      <c r="I6" t="s">
        <v>9</v>
      </c>
    </row>
    <row r="7" spans="2:9" x14ac:dyDescent="0.2">
      <c r="D7">
        <v>59</v>
      </c>
      <c r="E7">
        <v>61</v>
      </c>
      <c r="F7">
        <v>61</v>
      </c>
      <c r="G7">
        <v>62</v>
      </c>
      <c r="H7">
        <v>61</v>
      </c>
      <c r="I7">
        <v>61</v>
      </c>
    </row>
    <row r="8" spans="2:9" x14ac:dyDescent="0.2">
      <c r="C8">
        <f>D7*C10</f>
        <v>2436.7398399999997</v>
      </c>
      <c r="D8" s="8">
        <f>$D$5/100</f>
        <v>0.150232</v>
      </c>
      <c r="E8" s="8">
        <f t="shared" ref="E8:I8" si="0">$D$5/100</f>
        <v>0.150232</v>
      </c>
      <c r="F8" s="8">
        <f t="shared" si="0"/>
        <v>0.150232</v>
      </c>
      <c r="G8" s="8">
        <f t="shared" si="0"/>
        <v>0.150232</v>
      </c>
      <c r="H8" s="8">
        <f t="shared" si="0"/>
        <v>0.150232</v>
      </c>
      <c r="I8" s="8">
        <f t="shared" si="0"/>
        <v>0.150232</v>
      </c>
    </row>
    <row r="9" spans="2:9" x14ac:dyDescent="0.2">
      <c r="D9" s="4">
        <f>DATOS!C15</f>
        <v>0</v>
      </c>
      <c r="E9" s="4">
        <f>DATOS!C16</f>
        <v>0</v>
      </c>
      <c r="F9" s="4">
        <f>DATOS!C17</f>
        <v>0</v>
      </c>
      <c r="G9" s="4">
        <f>DATOS!C18</f>
        <v>0</v>
      </c>
      <c r="H9" s="4">
        <f>DATOS!C19</f>
        <v>0</v>
      </c>
      <c r="I9" s="4">
        <f>DATOS!C20</f>
        <v>0</v>
      </c>
    </row>
    <row r="10" spans="2:9" x14ac:dyDescent="0.2">
      <c r="B10">
        <v>1</v>
      </c>
      <c r="C10" s="6">
        <f>(((($C$2*$D$5)*2)/D7))+(15/D7)</f>
        <v>41.300675254237284</v>
      </c>
      <c r="D10" s="6">
        <f>(((($C$2*$D$5)*2)/D7)*(D7-D9))+IF(D7&gt;D9,DATOS!$C$7,0)</f>
        <v>2436.7398399999997</v>
      </c>
      <c r="E10" s="6">
        <f>(((($C$2*$D$5)*2)/E7)*(E7-E9))+IF(E7&gt;E9,DATOS!$C$7,0)</f>
        <v>2436.7398399999997</v>
      </c>
      <c r="F10" s="6">
        <f>(((($C$2*$D$5)*2)/F7)*(F7-F9))+IF(F7&gt;F9,DATOS!$C$7,0)</f>
        <v>2436.7398399999997</v>
      </c>
      <c r="G10" s="6">
        <f>(((($C$2*$D$5)*2)/G7)*(G7-G9))+IF(G7&gt;G9,DATOS!$C$7,0)</f>
        <v>2436.7398399999997</v>
      </c>
      <c r="H10" s="6">
        <f>(((($C$2*$D$5)*2)/H7)*(H7-H9))+IF(H7&gt;H9,DATOS!$C$7,0)</f>
        <v>2436.7398399999997</v>
      </c>
      <c r="I10" s="6">
        <f>(((($C$2*$D$5)*2)/I7)*(I7-I9))+IF(I7&gt;I9,DATOS!$C$7,0)</f>
        <v>2436.7398399999997</v>
      </c>
    </row>
    <row r="11" spans="2:9" x14ac:dyDescent="0.2">
      <c r="B11">
        <v>2</v>
      </c>
      <c r="C11" s="6">
        <f>(($D$5*2)/D7)+(15/D7)</f>
        <v>0.7634983050847457</v>
      </c>
      <c r="D11" s="6">
        <f>(($D$5*2)/D7)*(D7-D9)+IF(D7&gt;D9,DATOS!$C$7,0)</f>
        <v>45.046399999999998</v>
      </c>
      <c r="E11" s="6">
        <f>(($D$5*2)/E7)*(E7-E9)+IF(E7&gt;E9,DATOS!$C$7,0)</f>
        <v>45.046399999999998</v>
      </c>
      <c r="F11" s="6">
        <f>(($D$5*2)/F7)*(F7-F9)+IF(F7&gt;F9,DATOS!$C$7,0)</f>
        <v>45.046399999999998</v>
      </c>
      <c r="G11" s="6">
        <f>(($D$5*2)/G7)*(G7-G9)+IF(G7&gt;G9,DATOS!$C$7,0)</f>
        <v>45.046399999999998</v>
      </c>
      <c r="H11" s="6">
        <f>(($D$5*2)/H7)*(H7-H9)+IF(H7&gt;H9,DATOS!$C$7,0)</f>
        <v>45.046399999999998</v>
      </c>
      <c r="I11" s="6">
        <f>(($D$5*2)/I7)*(I7-I9)+IF(I7&gt;I9,DATOS!$C$7,0)</f>
        <v>45.046399999999998</v>
      </c>
    </row>
    <row r="12" spans="2:9" x14ac:dyDescent="0.2">
      <c r="B12">
        <v>3</v>
      </c>
      <c r="C12" s="6">
        <f>(($D$4*D8))+(15/D7)</f>
        <v>47.361230164847925</v>
      </c>
      <c r="D12" s="6">
        <f>(($D$4*D8)*(D7-D9))+IF(D7&gt;D9,DATOS!$C$7,0)</f>
        <v>2794.3125797260277</v>
      </c>
      <c r="E12" s="6">
        <f>(($D$4*E8)*(E7-E9))+IF(E7&gt;E9,DATOS!$C$7,0)</f>
        <v>2888.5265654794525</v>
      </c>
      <c r="F12" s="6">
        <f>(($D$4*F8)*(F7-F9))+IF(F7&gt;F9,DATOS!$C$7,0)</f>
        <v>2888.5265654794525</v>
      </c>
      <c r="G12" s="6">
        <f>(($D$4*G8)*(G7-G9))+IF(G7&gt;G9,DATOS!$C$7,0)</f>
        <v>2935.6335583561645</v>
      </c>
      <c r="H12" s="6">
        <f>(($D$4*H8)*(H7-H9))+IF(H7&gt;H9,DATOS!$C$7,0)</f>
        <v>2888.5265654794525</v>
      </c>
      <c r="I12" s="6">
        <f>(($D$4*I8)*(I7-I9))+IF(I7&gt;I9,DATOS!$C$7,0)</f>
        <v>2888.5265654794525</v>
      </c>
    </row>
    <row r="14" spans="2:9" x14ac:dyDescent="0.2">
      <c r="B14">
        <v>1</v>
      </c>
      <c r="E14" s="6">
        <f>(((($C$2*$D$5)*2)/E11)*(E11-E13))+IF(E11&gt;E13,DATOS!$C$7,0)</f>
        <v>2436.7398399999997</v>
      </c>
      <c r="F14" s="6">
        <f>(((($C$2*$D$5)*2)/F11)*(F11-F13))+IF(F11&gt;F13,DATOS!$C$7,0)</f>
        <v>2436.7398399999997</v>
      </c>
      <c r="G14" s="6">
        <f>(((($C$2*$D$5)*2)/G11)*(G11-G13))+IF(G11&gt;G13,DATOS!$C$7,0)</f>
        <v>2436.7398399999997</v>
      </c>
      <c r="H14" s="6">
        <f>(((($C$2*$D$5)*2)/H11)*(H11-H13))+IF(H11&gt;H13,DATOS!$C$7,0)</f>
        <v>2436.7398399999997</v>
      </c>
      <c r="I14" s="6">
        <f>(((($C$2*$D$5)*2)/I11)*(I11-I13))+IF(I11&gt;I13,DATOS!$C$7,0)</f>
        <v>2436.7398399999997</v>
      </c>
    </row>
    <row r="15" spans="2:9" x14ac:dyDescent="0.2">
      <c r="B15">
        <v>2</v>
      </c>
      <c r="E15" s="6">
        <f>(($D$5*2)/E11)*(E11-E13)+IF(E11&gt;E13,DATOS!$C$7,0)</f>
        <v>45.046399999999998</v>
      </c>
      <c r="F15" s="6">
        <f>(($D$5*2)/F11)*(F11-F13)+IF(F11&gt;F13,DATOS!$C$7,0)</f>
        <v>45.046399999999998</v>
      </c>
      <c r="G15" s="6">
        <f>(($D$5*2)/G11)*(G11-G13)+IF(G11&gt;G13,DATOS!$C$7,0)</f>
        <v>45.046399999999998</v>
      </c>
      <c r="H15" s="6">
        <f>(($D$5*2)/H11)*(H11-H13)+IF(H11&gt;H13,DATOS!$C$7,0)</f>
        <v>45.046399999999998</v>
      </c>
      <c r="I15" s="6">
        <f>(($D$5*2)/I11)*(I11-I13)+IF(I11&gt;I13,DATOS!$C$7,0)</f>
        <v>45.046399999999998</v>
      </c>
    </row>
    <row r="16" spans="2:9" x14ac:dyDescent="0.2">
      <c r="B16">
        <v>3</v>
      </c>
      <c r="E16" s="6">
        <f>(($D$4*E12)*(E11-E13))+IF(E11&gt;E13,DATOS!$C$7,0)</f>
        <v>40799942.140865751</v>
      </c>
      <c r="F16" s="6">
        <f>(($D$4*F12)*(F11-F13))+IF(F11&gt;F13,DATOS!$C$7,0)</f>
        <v>40799942.140865751</v>
      </c>
      <c r="G16" s="6">
        <f>(($D$4*G12)*(G11-G13))+IF(G11&gt;G13,DATOS!$C$7,0)</f>
        <v>41465320.088281684</v>
      </c>
      <c r="H16" s="6">
        <f>(($D$4*H12)*(H11-H13))+IF(H11&gt;H13,DATOS!$C$7,0)</f>
        <v>40799942.140865751</v>
      </c>
      <c r="I16" s="6">
        <f>(($D$4*I12)*(I11-I13))+IF(I11&gt;I13,DATOS!$C$7,0)</f>
        <v>40799942.140865751</v>
      </c>
    </row>
    <row r="18" spans="4:4" x14ac:dyDescent="0.2">
      <c r="D18">
        <f>(((($C$2*$D$5)*2)/D11))</f>
        <v>53.761007316899907</v>
      </c>
    </row>
  </sheetData>
  <sheetProtection password="DE16" sheet="1" objects="1" scenarios="1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ISPT-INFO-IMSS TRABAJADOR 2018</vt:lpstr>
      <vt:lpstr>DATOS</vt:lpstr>
      <vt:lpstr>SBC 2018</vt:lpstr>
      <vt:lpstr>TARIFAS ISPT, SUBSIDO AL EMPLEO</vt:lpstr>
      <vt:lpstr>CALCULO RETENCION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Salcido</dc:creator>
  <cp:lastModifiedBy>Usuario de Microsoft Office</cp:lastModifiedBy>
  <dcterms:created xsi:type="dcterms:W3CDTF">2011-08-07T23:05:06Z</dcterms:created>
  <dcterms:modified xsi:type="dcterms:W3CDTF">2018-02-01T18:20:54Z</dcterms:modified>
</cp:coreProperties>
</file>